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David\Downloads\"/>
    </mc:Choice>
  </mc:AlternateContent>
  <xr:revisionPtr revIDLastSave="0" documentId="13_ncr:1_{F6275636-9C38-4305-A7FD-69F96E6D64CE}" xr6:coauthVersionLast="47" xr6:coauthVersionMax="47" xr10:uidLastSave="{00000000-0000-0000-0000-000000000000}"/>
  <bookViews>
    <workbookView xWindow="4174" yWindow="1723" windowWidth="24695" windowHeight="13054"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O69" i="1" l="1"/>
  <c r="O68" i="1"/>
  <c r="O67" i="1"/>
  <c r="O66" i="1"/>
  <c r="O71" i="1" s="1"/>
  <c r="K59" i="1"/>
  <c r="K58" i="1"/>
  <c r="E58" i="1"/>
  <c r="O55" i="1"/>
  <c r="O54" i="1"/>
  <c r="O53" i="1"/>
  <c r="O52" i="1"/>
  <c r="O51" i="1"/>
  <c r="O50" i="1"/>
  <c r="O49" i="1"/>
  <c r="O48" i="1"/>
  <c r="E16" i="1"/>
  <c r="E12" i="1"/>
  <c r="E19" i="1" s="1"/>
  <c r="E21" i="1" l="1"/>
  <c r="J18" i="1" s="1"/>
  <c r="E20" i="1"/>
  <c r="J17" i="1" s="1"/>
  <c r="J19" i="1" s="1"/>
  <c r="E22" i="1"/>
  <c r="E23" i="1" s="1"/>
  <c r="J16" i="1" s="1"/>
  <c r="E18" i="1"/>
  <c r="O70" i="1"/>
  <c r="E17" i="1"/>
  <c r="J22" i="1" l="1"/>
  <c r="J20" i="1"/>
  <c r="J23" i="1" l="1"/>
  <c r="J21" i="1"/>
  <c r="B36" i="1"/>
  <c r="D36" i="1" l="1"/>
  <c r="B35" i="1"/>
  <c r="B37" i="1"/>
  <c r="C36" i="1"/>
  <c r="B34" i="1" l="1"/>
  <c r="D35" i="1"/>
  <c r="C35" i="1"/>
  <c r="B38" i="1"/>
  <c r="D37" i="1"/>
  <c r="C37" i="1"/>
  <c r="B39" i="1" l="1"/>
  <c r="D38" i="1"/>
  <c r="C38" i="1"/>
  <c r="D34" i="1"/>
  <c r="C34" i="1"/>
  <c r="B33" i="1"/>
  <c r="D33" i="1" l="1"/>
  <c r="C33" i="1"/>
  <c r="B32" i="1"/>
  <c r="D39" i="1"/>
  <c r="B40" i="1"/>
  <c r="C39" i="1"/>
  <c r="B41" i="1" l="1"/>
  <c r="D40" i="1"/>
  <c r="C40" i="1"/>
  <c r="C32" i="1"/>
  <c r="D32" i="1"/>
  <c r="B31" i="1"/>
  <c r="C31" i="1" l="1"/>
  <c r="D31" i="1"/>
  <c r="B30" i="1"/>
  <c r="C41" i="1"/>
  <c r="B42" i="1"/>
  <c r="D41" i="1"/>
  <c r="D30" i="1" l="1"/>
  <c r="C30" i="1"/>
  <c r="B29" i="1"/>
  <c r="D42" i="1"/>
  <c r="B43" i="1"/>
  <c r="C42" i="1"/>
  <c r="D29" i="1" l="1"/>
  <c r="C29" i="1"/>
  <c r="B28" i="1"/>
  <c r="C43" i="1"/>
  <c r="B44" i="1"/>
  <c r="D43" i="1"/>
  <c r="B45" i="1" l="1"/>
  <c r="D44" i="1"/>
  <c r="C44" i="1"/>
  <c r="B27" i="1"/>
  <c r="C28" i="1"/>
  <c r="D28" i="1"/>
  <c r="B26" i="1" l="1"/>
  <c r="C27" i="1"/>
  <c r="D27" i="1"/>
  <c r="D45" i="1"/>
  <c r="C45" i="1"/>
  <c r="B46" i="1"/>
  <c r="D46" i="1" l="1"/>
  <c r="C46" i="1"/>
  <c r="D26" i="1"/>
  <c r="C26" i="1"/>
</calcChain>
</file>

<file path=xl/sharedStrings.xml><?xml version="1.0" encoding="utf-8"?>
<sst xmlns="http://schemas.openxmlformats.org/spreadsheetml/2006/main" count="116" uniqueCount="67">
  <si>
    <t>Mainspring Calculators</t>
  </si>
  <si>
    <t>Version 1.2, September 2019</t>
  </si>
  <si>
    <r>
      <rPr>
        <sz val="8"/>
        <rFont val="Arial"/>
        <family val="2"/>
        <charset val="1"/>
      </rPr>
      <t xml:space="preserve">Eur Ing David Boettcher </t>
    </r>
    <r>
      <rPr>
        <sz val="8"/>
        <rFont val="Arial"/>
        <charset val="1"/>
      </rPr>
      <t>© 2017–2019. May be distributed freely provided that this copyright notice is included.</t>
    </r>
  </si>
  <si>
    <t>1. Spring Thickness and Length</t>
  </si>
  <si>
    <t>Scroll down the page for more calculators.</t>
  </si>
  <si>
    <t>Enter inside diameter of barrel and outside diameter of arbor and the required number of turns into the green box. The calculator will work out the dimensions shown in the figure. The sensitivity of turns to change of length to give “fills” between 30% and 70% is also shown.</t>
  </si>
  <si>
    <t>Input Data</t>
  </si>
  <si>
    <t>Overwrite the data in the green box</t>
  </si>
  <si>
    <t>Barrel Inside Diameter (ID) “D”</t>
  </si>
  <si>
    <t xml:space="preserve">D: </t>
  </si>
  <si>
    <t>mm</t>
  </si>
  <si>
    <t>Arbor Outside Diameter (OD) “d”</t>
  </si>
  <si>
    <t xml:space="preserve">d: </t>
  </si>
  <si>
    <t>(Enter “=E11/3” to automatically fill with one third barrel ID.)</t>
  </si>
  <si>
    <t>Required Number of Turns “T”</t>
  </si>
  <si>
    <t xml:space="preserve">T: </t>
  </si>
  <si>
    <t>Calculations</t>
  </si>
  <si>
    <t>Barrel Inside Radius</t>
  </si>
  <si>
    <t>Ratio Barrel ID to Spring Thickness</t>
  </si>
  <si>
    <t>Arbor Radius</t>
  </si>
  <si>
    <t>Number of Coils in Wound Coil Stack</t>
  </si>
  <si>
    <t>Area between Arbor and Barrel</t>
  </si>
  <si>
    <t>mm^2</t>
  </si>
  <si>
    <t>Number of Coils in Unwound Coil Stack</t>
  </si>
  <si>
    <t>Half Area Radius “x”</t>
  </si>
  <si>
    <t>Diff. Wound to Unwound Coils</t>
  </si>
  <si>
    <t>Depth of Wound Coil Stack</t>
  </si>
  <si>
    <t>Spring Length to give 50% Fill</t>
  </si>
  <si>
    <t>Depth of Unwound Coil Stack</t>
  </si>
  <si>
    <t>Ratio Spring Length to Barrel ID</t>
  </si>
  <si>
    <t>Wound to Unwound Coil Stack Difference</t>
  </si>
  <si>
    <t>Spring Length to give 30% Fill</t>
  </si>
  <si>
    <t>Spring Thickness (Stack Diff / Turns)</t>
  </si>
  <si>
    <t>Increment 10% Length</t>
  </si>
  <si>
    <t>Length</t>
  </si>
  <si>
    <t>Fill %</t>
  </si>
  <si>
    <t>Turns</t>
  </si>
  <si>
    <t>3. Turns and Fill% from any Barrel, Arbor and Spring Dimensions</t>
  </si>
  <si>
    <t>Barrel ID</t>
  </si>
  <si>
    <t>mm or inches</t>
  </si>
  <si>
    <t>Arbor OD</t>
  </si>
  <si>
    <t>Spring Thickness</t>
  </si>
  <si>
    <t>Spring Length</t>
  </si>
  <si>
    <t>Output Data</t>
  </si>
  <si>
    <t>Theoretical Turns</t>
  </si>
  <si>
    <t>2. Length Estimators</t>
  </si>
  <si>
    <t>Arbor to Barrel</t>
  </si>
  <si>
    <t>Length from Coils</t>
  </si>
  <si>
    <t>Length from Weight</t>
  </si>
  <si>
    <t>Barrel/thickness</t>
  </si>
  <si>
    <t>Arbor/thickness</t>
  </si>
  <si>
    <t>Wound Coils</t>
  </si>
  <si>
    <t>Barrel Inside Diameter “D”</t>
  </si>
  <si>
    <t>Spring Weight</t>
  </si>
  <si>
    <t>gm</t>
  </si>
  <si>
    <t>Unwound Coils</t>
  </si>
  <si>
    <t>Spring Thickness “t”</t>
  </si>
  <si>
    <t>Difference</t>
  </si>
  <si>
    <t>Number of Coils Against Barrel Wall N</t>
  </si>
  <si>
    <t>Spring Height (Width)</t>
  </si>
  <si>
    <t>Estimated Length of Spring</t>
  </si>
  <si>
    <t>Steel</t>
  </si>
  <si>
    <t>4. Spring Length Required to Fill 50%</t>
  </si>
  <si>
    <t>Alloy</t>
  </si>
  <si>
    <t>Required Length</t>
  </si>
  <si>
    <t>Length/Barrel</t>
  </si>
  <si>
    <t>Fill % (confirm)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</si>
</sst>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8" x14ac:knownFonts="1">
    <font>
      <sz val="10"/>
      <name val="Arial"/>
      <family val="2"/>
      <charset val="1"/>
    </font>
    <font>
      <b/>
      <sz val="20"/>
      <name val="Arial"/>
      <family val="2"/>
      <charset val="1"/>
    </font>
    <font>
      <sz val="8"/>
      <name val="Arial"/>
      <family val="2"/>
      <charset val="1"/>
    </font>
    <font>
      <sz val="8"/>
      <name val="Arial"/>
      <charset val="1"/>
    </font>
    <font>
      <sz val="8"/>
      <color rgb="FF0000FF"/>
      <name val="Arial"/>
      <family val="2"/>
      <charset val="1"/>
    </font>
    <font>
      <b/>
      <sz val="14"/>
      <name val="Arial"/>
      <family val="2"/>
      <charset val="1"/>
    </font>
    <font>
      <b/>
      <sz val="12"/>
      <name val="Arial"/>
      <family val="2"/>
      <charset val="1"/>
    </font>
    <font>
      <b/>
      <sz val="10"/>
      <name val="Arial"/>
      <family val="2"/>
      <charset val="1"/>
    </font>
  </fonts>
  <fills count="4">
    <fill>
      <patternFill patternType="none"/>
    </fill>
    <fill>
      <patternFill patternType="gray125"/>
    </fill>
    <fill>
      <patternFill patternType="solid">
        <fgColor rgb="FFFFFF00"/>
        <bgColor rgb="FFFFFF00"/>
      </patternFill>
    </fill>
    <fill>
      <patternFill patternType="solid">
        <fgColor rgb="FF99FF66"/>
        <bgColor rgb="FF99CC00"/>
      </patternFill>
    </fill>
  </fills>
  <borders count="16">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rgb="FF00CC00"/>
      </left>
      <right style="hair">
        <color rgb="FF00CC00"/>
      </right>
      <top style="hair">
        <color rgb="FF00CC00"/>
      </top>
      <bottom/>
      <diagonal/>
    </border>
    <border>
      <left/>
      <right style="hair">
        <color auto="1"/>
      </right>
      <top/>
      <bottom/>
      <diagonal/>
    </border>
    <border>
      <left style="hair">
        <color rgb="FF00CC00"/>
      </left>
      <right style="hair">
        <color rgb="FF00CC00"/>
      </right>
      <top/>
      <bottom/>
      <diagonal/>
    </border>
    <border>
      <left style="hair">
        <color auto="1"/>
      </left>
      <right/>
      <top/>
      <bottom style="hair">
        <color auto="1"/>
      </bottom>
      <diagonal/>
    </border>
    <border>
      <left style="hair">
        <color rgb="FF00CC00"/>
      </left>
      <right style="hair">
        <color rgb="FF00CC00"/>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rgb="FF00CC00"/>
      </left>
      <right style="hair">
        <color rgb="FF00CC00"/>
      </right>
      <top/>
      <bottom style="hair">
        <color rgb="FF00CC00"/>
      </bottom>
      <diagonal/>
    </border>
    <border>
      <left/>
      <right/>
      <top/>
      <bottom style="hair">
        <color auto="1"/>
      </bottom>
      <diagonal/>
    </border>
  </borders>
  <cellStyleXfs count="1">
    <xf numFmtId="0" fontId="0" fillId="0" borderId="0"/>
  </cellStyleXfs>
  <cellXfs count="48">
    <xf numFmtId="0" fontId="0" fillId="0" borderId="0" xfId="0"/>
    <xf numFmtId="0" fontId="6" fillId="2" borderId="0" xfId="0" applyFont="1" applyFill="1" applyAlignment="1">
      <alignment horizontal="left" vertical="center"/>
    </xf>
    <xf numFmtId="0" fontId="0" fillId="2" borderId="11" xfId="0" applyFill="1" applyBorder="1" applyAlignment="1">
      <alignment horizontal="left" vertical="center"/>
    </xf>
    <xf numFmtId="0" fontId="7" fillId="0" borderId="0" xfId="0" applyFont="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center" vertical="center"/>
    </xf>
    <xf numFmtId="0" fontId="0" fillId="0" borderId="0" xfId="0" applyAlignment="1">
      <alignment horizontal="left" vertical="center" wrapText="1"/>
    </xf>
    <xf numFmtId="0" fontId="5" fillId="2" borderId="0" xfId="0" applyFont="1" applyFill="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xf numFmtId="0" fontId="6" fillId="0" borderId="1" xfId="0" applyFont="1" applyBorder="1" applyAlignment="1">
      <alignment horizontal="left" vertical="center"/>
    </xf>
    <xf numFmtId="0" fontId="0" fillId="0" borderId="2" xfId="0" applyBorder="1"/>
    <xf numFmtId="4" fontId="0" fillId="3" borderId="5" xfId="0" applyNumberFormat="1" applyFill="1" applyBorder="1"/>
    <xf numFmtId="0" fontId="0" fillId="0" borderId="6" xfId="0" applyBorder="1"/>
    <xf numFmtId="4" fontId="0" fillId="3" borderId="7" xfId="0" applyNumberFormat="1" applyFill="1" applyBorder="1"/>
    <xf numFmtId="4" fontId="0" fillId="3" borderId="9" xfId="0" applyNumberFormat="1" applyFill="1" applyBorder="1"/>
    <xf numFmtId="0" fontId="0" fillId="0" borderId="10" xfId="0" applyBorder="1"/>
    <xf numFmtId="0" fontId="0" fillId="0" borderId="0" xfId="0" applyAlignment="1">
      <alignment horizontal="left"/>
    </xf>
    <xf numFmtId="4" fontId="0" fillId="0" borderId="0" xfId="0" applyNumberFormat="1"/>
    <xf numFmtId="3" fontId="0" fillId="0" borderId="0" xfId="0" applyNumberFormat="1"/>
    <xf numFmtId="164" fontId="0" fillId="0" borderId="0" xfId="0" applyNumberFormat="1"/>
    <xf numFmtId="3" fontId="0" fillId="2" borderId="12" xfId="0" applyNumberFormat="1" applyFill="1" applyBorder="1"/>
    <xf numFmtId="0" fontId="0" fillId="2" borderId="13" xfId="0" applyFill="1" applyBorder="1"/>
    <xf numFmtId="165" fontId="0" fillId="2" borderId="12" xfId="0" applyNumberFormat="1" applyFill="1" applyBorder="1"/>
    <xf numFmtId="0" fontId="7" fillId="0" borderId="0" xfId="0" applyFont="1"/>
    <xf numFmtId="9" fontId="0" fillId="0" borderId="0" xfId="0" applyNumberFormat="1"/>
    <xf numFmtId="0" fontId="0" fillId="0" borderId="4" xfId="0" applyBorder="1"/>
    <xf numFmtId="165" fontId="0" fillId="3" borderId="7" xfId="0" applyNumberFormat="1" applyFill="1" applyBorder="1"/>
    <xf numFmtId="0" fontId="0" fillId="0" borderId="8" xfId="0" applyBorder="1"/>
    <xf numFmtId="4" fontId="0" fillId="3" borderId="14" xfId="0" applyNumberFormat="1" applyFill="1" applyBorder="1"/>
    <xf numFmtId="0" fontId="0" fillId="0" borderId="15" xfId="0" applyBorder="1"/>
    <xf numFmtId="0" fontId="7" fillId="0" borderId="1" xfId="0" applyFont="1" applyBorder="1"/>
    <xf numFmtId="0" fontId="0" fillId="0" borderId="3" xfId="0" applyBorder="1"/>
    <xf numFmtId="4" fontId="0" fillId="0" borderId="6" xfId="0" applyNumberFormat="1" applyBorder="1"/>
    <xf numFmtId="9" fontId="0" fillId="0" borderId="6" xfId="0" applyNumberFormat="1" applyBorder="1"/>
    <xf numFmtId="3" fontId="0" fillId="0" borderId="6" xfId="0" applyNumberFormat="1" applyBorder="1"/>
    <xf numFmtId="164" fontId="0" fillId="0" borderId="6" xfId="0" applyNumberFormat="1" applyBorder="1"/>
    <xf numFmtId="165" fontId="0" fillId="3" borderId="5" xfId="0" applyNumberFormat="1" applyFill="1" applyBorder="1"/>
    <xf numFmtId="164" fontId="0" fillId="0" borderId="13" xfId="0" applyNumberFormat="1" applyBorder="1"/>
    <xf numFmtId="0" fontId="0" fillId="2" borderId="0" xfId="0" applyFill="1"/>
    <xf numFmtId="3" fontId="0" fillId="2" borderId="0" xfId="0" applyNumberFormat="1" applyFill="1"/>
    <xf numFmtId="165" fontId="0" fillId="3" borderId="9" xfId="0" applyNumberFormat="1" applyFill="1" applyBorder="1"/>
    <xf numFmtId="9" fontId="0" fillId="0" borderId="15" xfId="0" applyNumberFormat="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CC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99FF66"/>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458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scatterChart>
        <c:scatterStyle val="lineMarker"/>
        <c:varyColors val="0"/>
        <c:ser>
          <c:idx val="0"/>
          <c:order val="0"/>
          <c:tx>
            <c:strRef>
              <c:f>Sheet1!$D$25:$D$25</c:f>
              <c:strCache>
                <c:ptCount val="1"/>
                <c:pt idx="0">
                  <c:v>Turns</c:v>
                </c:pt>
              </c:strCache>
            </c:strRef>
          </c:tx>
          <c:spPr>
            <a:ln w="28800">
              <a:solidFill>
                <a:srgbClr val="004586"/>
              </a:solidFill>
              <a:round/>
            </a:ln>
          </c:spPr>
          <c:marker>
            <c:symbol val="none"/>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xVal>
            <c:numRef>
              <c:f>Sheet1!$C$26:$C$46</c:f>
              <c:numCache>
                <c:formatCode>0%</c:formatCode>
                <c:ptCount val="21"/>
                <c:pt idx="0">
                  <c:v>0.3</c:v>
                </c:pt>
                <c:pt idx="1">
                  <c:v>0.32</c:v>
                </c:pt>
                <c:pt idx="2">
                  <c:v>0.33999999999999997</c:v>
                </c:pt>
                <c:pt idx="3">
                  <c:v>0.36</c:v>
                </c:pt>
                <c:pt idx="4">
                  <c:v>0.38</c:v>
                </c:pt>
                <c:pt idx="5">
                  <c:v>0.4</c:v>
                </c:pt>
                <c:pt idx="6">
                  <c:v>0.42</c:v>
                </c:pt>
                <c:pt idx="7">
                  <c:v>0.44</c:v>
                </c:pt>
                <c:pt idx="8">
                  <c:v>0.46</c:v>
                </c:pt>
                <c:pt idx="9">
                  <c:v>0.48</c:v>
                </c:pt>
                <c:pt idx="10">
                  <c:v>0.5</c:v>
                </c:pt>
                <c:pt idx="11">
                  <c:v>0.52</c:v>
                </c:pt>
                <c:pt idx="12">
                  <c:v>0.53999999999999992</c:v>
                </c:pt>
                <c:pt idx="13">
                  <c:v>0.55999999999999994</c:v>
                </c:pt>
                <c:pt idx="14">
                  <c:v>0.58000000000000007</c:v>
                </c:pt>
                <c:pt idx="15">
                  <c:v>0.6</c:v>
                </c:pt>
                <c:pt idx="16">
                  <c:v>0.62</c:v>
                </c:pt>
                <c:pt idx="17">
                  <c:v>0.64</c:v>
                </c:pt>
                <c:pt idx="18">
                  <c:v>0.66</c:v>
                </c:pt>
                <c:pt idx="19">
                  <c:v>0.67999999999999994</c:v>
                </c:pt>
                <c:pt idx="20">
                  <c:v>0.7</c:v>
                </c:pt>
              </c:numCache>
            </c:numRef>
          </c:xVal>
          <c:yVal>
            <c:numRef>
              <c:f>Sheet1!$D$26:$D$46</c:f>
              <c:numCache>
                <c:formatCode>#,##0.00</c:formatCode>
                <c:ptCount val="21"/>
                <c:pt idx="0">
                  <c:v>5.9476453462238181</c:v>
                </c:pt>
                <c:pt idx="1">
                  <c:v>6.1140868157352752</c:v>
                </c:pt>
                <c:pt idx="2">
                  <c:v>6.2611554060505101</c:v>
                </c:pt>
                <c:pt idx="3">
                  <c:v>6.3895110999566045</c:v>
                </c:pt>
                <c:pt idx="4">
                  <c:v>6.4997100400749321</c:v>
                </c:pt>
                <c:pt idx="5">
                  <c:v>6.5922154811909692</c:v>
                </c:pt>
                <c:pt idx="6">
                  <c:v>6.6674064819879382</c:v>
                </c:pt>
                <c:pt idx="7">
                  <c:v>6.7255847284256394</c:v>
                </c:pt>
                <c:pt idx="8">
                  <c:v>6.766979780274645</c:v>
                </c:pt>
                <c:pt idx="9">
                  <c:v>6.7917529547822761</c:v>
                </c:pt>
                <c:pt idx="10">
                  <c:v>6.799999999999331</c:v>
                </c:pt>
                <c:pt idx="11">
                  <c:v>6.7917526597978792</c:v>
                </c:pt>
                <c:pt idx="12">
                  <c:v>6.7669791891692714</c:v>
                </c:pt>
                <c:pt idx="13">
                  <c:v>6.7255838389075882</c:v>
                </c:pt>
                <c:pt idx="14">
                  <c:v>6.66740529057284</c:v>
                </c:pt>
                <c:pt idx="15">
                  <c:v>6.5922139831434139</c:v>
                </c:pt>
                <c:pt idx="16">
                  <c:v>6.4997082293275232</c:v>
                </c:pt>
                <c:pt idx="17">
                  <c:v>6.3895089690026934</c:v>
                </c:pt>
                <c:pt idx="18">
                  <c:v>6.2611529458066029</c:v>
                </c:pt>
                <c:pt idx="19">
                  <c:v>6.1140840153667035</c:v>
                </c:pt>
                <c:pt idx="20">
                  <c:v>5.9476421929258656</c:v>
                </c:pt>
              </c:numCache>
            </c:numRef>
          </c:yVal>
          <c:smooth val="1"/>
          <c:extLst>
            <c:ext xmlns:c16="http://schemas.microsoft.com/office/drawing/2014/chart" uri="{C3380CC4-5D6E-409C-BE32-E72D297353CC}">
              <c16:uniqueId val="{00000000-9ECC-44D6-98AE-38CE5B5BC1D6}"/>
            </c:ext>
          </c:extLst>
        </c:ser>
        <c:dLbls>
          <c:showLegendKey val="0"/>
          <c:showVal val="0"/>
          <c:showCatName val="0"/>
          <c:showSerName val="0"/>
          <c:showPercent val="0"/>
          <c:showBubbleSize val="0"/>
        </c:dLbls>
        <c:axId val="31810056"/>
        <c:axId val="27382197"/>
      </c:scatterChart>
      <c:valAx>
        <c:axId val="31810056"/>
        <c:scaling>
          <c:orientation val="minMax"/>
        </c:scaling>
        <c:delete val="0"/>
        <c:axPos val="b"/>
        <c:numFmt formatCode="0%" sourceLinked="0"/>
        <c:majorTickMark val="out"/>
        <c:minorTickMark val="none"/>
        <c:tickLblPos val="nextTo"/>
        <c:spPr>
          <a:ln>
            <a:solidFill>
              <a:srgbClr val="B3B3B3"/>
            </a:solidFill>
          </a:ln>
        </c:spPr>
        <c:txPr>
          <a:bodyPr/>
          <a:lstStyle/>
          <a:p>
            <a:pPr>
              <a:defRPr sz="1000" b="0" strike="noStrike" spc="-1">
                <a:solidFill>
                  <a:srgbClr val="000000"/>
                </a:solidFill>
                <a:latin typeface="Arial"/>
              </a:defRPr>
            </a:pPr>
            <a:endParaRPr lang="en-US"/>
          </a:p>
        </c:txPr>
        <c:crossAx val="27382197"/>
        <c:crosses val="autoZero"/>
        <c:crossBetween val="midCat"/>
      </c:valAx>
      <c:valAx>
        <c:axId val="27382197"/>
        <c:scaling>
          <c:orientation val="minMax"/>
        </c:scaling>
        <c:delete val="0"/>
        <c:axPos val="l"/>
        <c:majorGridlines>
          <c:spPr>
            <a:ln>
              <a:solidFill>
                <a:srgbClr val="B3B3B3"/>
              </a:solidFill>
            </a:ln>
          </c:spPr>
        </c:majorGridlines>
        <c:numFmt formatCode="#,##0.00" sourceLinked="0"/>
        <c:majorTickMark val="out"/>
        <c:minorTickMark val="none"/>
        <c:tickLblPos val="nextTo"/>
        <c:spPr>
          <a:ln>
            <a:solidFill>
              <a:srgbClr val="B3B3B3"/>
            </a:solidFill>
          </a:ln>
        </c:spPr>
        <c:txPr>
          <a:bodyPr/>
          <a:lstStyle/>
          <a:p>
            <a:pPr>
              <a:defRPr sz="1000" b="0" strike="noStrike" spc="-1">
                <a:solidFill>
                  <a:srgbClr val="000000"/>
                </a:solidFill>
                <a:latin typeface="Arial"/>
              </a:defRPr>
            </a:pPr>
            <a:endParaRPr lang="en-US"/>
          </a:p>
        </c:txPr>
        <c:crossAx val="31810056"/>
        <c:crosses val="autoZero"/>
        <c:crossBetween val="midCat"/>
      </c:valAx>
      <c:spPr>
        <a:noFill/>
        <a:ln>
          <a:solidFill>
            <a:srgbClr val="B3B3B3"/>
          </a:solidFill>
        </a:ln>
      </c:spPr>
    </c:plotArea>
    <c:legend>
      <c:legendPos val="r"/>
      <c:overlay val="0"/>
      <c:spPr>
        <a:noFill/>
        <a:ln>
          <a:noFill/>
        </a:ln>
      </c:spPr>
      <c:txPr>
        <a:bodyPr/>
        <a:lstStyle/>
        <a:p>
          <a:pPr>
            <a:defRPr sz="1000" b="0" strike="noStrike" spc="-1">
              <a:latin typeface="Arial"/>
            </a:defRPr>
          </a:pPr>
          <a:endParaRPr lang="en-US"/>
        </a:p>
      </c:txPr>
    </c:legend>
    <c:plotVisOnly val="1"/>
    <c:dispBlanksAs val="span"/>
    <c:showDLblsOverMax val="1"/>
  </c:chart>
  <c:spPr>
    <a:solidFill>
      <a:srgbClr val="FFFFFF"/>
    </a:solidFill>
    <a:ln w="9360">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195480</xdr:colOff>
      <xdr:row>25</xdr:row>
      <xdr:rowOff>9000</xdr:rowOff>
    </xdr:from>
    <xdr:to>
      <xdr:col>11</xdr:col>
      <xdr:colOff>779760</xdr:colOff>
      <xdr:row>46</xdr:row>
      <xdr:rowOff>35640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11</xdr:col>
      <xdr:colOff>792000</xdr:colOff>
      <xdr:row>1</xdr:row>
      <xdr:rowOff>9000</xdr:rowOff>
    </xdr:from>
    <xdr:to>
      <xdr:col>18</xdr:col>
      <xdr:colOff>175320</xdr:colOff>
      <xdr:row>34</xdr:row>
      <xdr:rowOff>89280</xdr:rowOff>
    </xdr:to>
    <xdr:pic>
      <xdr:nvPicPr>
        <xdr:cNvPr id="3" name="Image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9174600" y="319320"/>
          <a:ext cx="5351040" cy="563256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1"/>
  <sheetViews>
    <sheetView tabSelected="1" zoomScaleNormal="100" workbookViewId="0">
      <selection activeCell="G4" sqref="G4"/>
    </sheetView>
  </sheetViews>
  <sheetFormatPr defaultColWidth="11.53515625" defaultRowHeight="12.45" x14ac:dyDescent="0.3"/>
  <cols>
    <col min="1" max="1" width="3.61328125" customWidth="1"/>
    <col min="14" max="14" width="15.4609375" customWidth="1"/>
  </cols>
  <sheetData>
    <row r="1" spans="1:11" ht="25.3" x14ac:dyDescent="0.3">
      <c r="A1" s="12" t="s">
        <v>0</v>
      </c>
      <c r="B1" s="12"/>
      <c r="C1" s="12"/>
      <c r="D1" s="12"/>
      <c r="E1" s="12"/>
    </row>
    <row r="2" spans="1:11" x14ac:dyDescent="0.3">
      <c r="A2" s="11" t="s">
        <v>1</v>
      </c>
      <c r="B2" s="11"/>
      <c r="C2" s="11"/>
    </row>
    <row r="3" spans="1:11" x14ac:dyDescent="0.3">
      <c r="A3" s="10" t="s">
        <v>2</v>
      </c>
      <c r="B3" s="10"/>
      <c r="C3" s="10"/>
      <c r="D3" s="10"/>
      <c r="E3" s="10"/>
      <c r="F3" s="10"/>
      <c r="G3" s="10"/>
      <c r="H3" s="10"/>
    </row>
    <row r="4" spans="1:11" x14ac:dyDescent="0.3">
      <c r="A4" s="9"/>
      <c r="B4" s="9"/>
      <c r="C4" s="9"/>
      <c r="D4" s="9"/>
      <c r="E4" s="9"/>
      <c r="F4" s="14"/>
      <c r="G4" s="14"/>
      <c r="H4" s="14"/>
    </row>
    <row r="5" spans="1:11" x14ac:dyDescent="0.3">
      <c r="B5" s="13"/>
      <c r="C5" s="14"/>
      <c r="D5" s="14"/>
      <c r="E5" s="14"/>
      <c r="F5" s="14"/>
      <c r="G5" s="14"/>
      <c r="H5" s="14"/>
      <c r="I5" s="14"/>
    </row>
    <row r="6" spans="1:11" ht="17.600000000000001" x14ac:dyDescent="0.3">
      <c r="B6" s="8" t="s">
        <v>3</v>
      </c>
      <c r="C6" s="8"/>
      <c r="D6" s="8"/>
      <c r="E6" s="8"/>
      <c r="F6" s="14" t="s">
        <v>4</v>
      </c>
      <c r="G6" s="14"/>
      <c r="H6" s="14"/>
      <c r="I6" s="14"/>
    </row>
    <row r="8" spans="1:11" ht="20.9" customHeight="1" x14ac:dyDescent="0.3">
      <c r="B8" s="7" t="s">
        <v>5</v>
      </c>
      <c r="C8" s="7"/>
      <c r="D8" s="7"/>
      <c r="E8" s="7"/>
      <c r="F8" s="7"/>
      <c r="G8" s="7"/>
      <c r="H8" s="7"/>
      <c r="I8" s="7"/>
      <c r="J8" s="7"/>
      <c r="K8" s="7"/>
    </row>
    <row r="10" spans="1:11" ht="15.45" x14ac:dyDescent="0.3">
      <c r="B10" s="15" t="s">
        <v>6</v>
      </c>
      <c r="C10" s="16"/>
      <c r="D10" s="6" t="s">
        <v>7</v>
      </c>
      <c r="E10" s="6"/>
      <c r="F10" s="6"/>
    </row>
    <row r="11" spans="1:11" x14ac:dyDescent="0.3">
      <c r="B11" s="5" t="s">
        <v>8</v>
      </c>
      <c r="C11" s="5"/>
      <c r="D11" s="5" t="s">
        <v>9</v>
      </c>
      <c r="E11" s="17">
        <v>11.5</v>
      </c>
      <c r="F11" s="18" t="s">
        <v>10</v>
      </c>
    </row>
    <row r="12" spans="1:11" x14ac:dyDescent="0.3">
      <c r="B12" s="5" t="s">
        <v>11</v>
      </c>
      <c r="C12" s="5"/>
      <c r="D12" s="5" t="s">
        <v>12</v>
      </c>
      <c r="E12" s="19">
        <f>E11/3</f>
        <v>3.8333333333333335</v>
      </c>
      <c r="F12" s="18" t="s">
        <v>10</v>
      </c>
      <c r="G12" t="s">
        <v>13</v>
      </c>
    </row>
    <row r="13" spans="1:11" x14ac:dyDescent="0.3">
      <c r="B13" s="4" t="s">
        <v>14</v>
      </c>
      <c r="C13" s="4"/>
      <c r="D13" s="4" t="s">
        <v>15</v>
      </c>
      <c r="E13" s="20">
        <v>6.8</v>
      </c>
      <c r="F13" s="21"/>
    </row>
    <row r="14" spans="1:11" x14ac:dyDescent="0.3">
      <c r="B14" s="22"/>
      <c r="C14" s="22"/>
      <c r="D14" s="22"/>
      <c r="E14" s="23"/>
    </row>
    <row r="15" spans="1:11" x14ac:dyDescent="0.3">
      <c r="B15" s="3" t="s">
        <v>16</v>
      </c>
      <c r="C15" s="3"/>
      <c r="D15" s="3"/>
      <c r="E15" s="23"/>
    </row>
    <row r="16" spans="1:11" x14ac:dyDescent="0.3">
      <c r="B16" s="11" t="s">
        <v>17</v>
      </c>
      <c r="C16" s="11"/>
      <c r="D16" s="11"/>
      <c r="E16" s="23">
        <f>E11/2</f>
        <v>5.75</v>
      </c>
      <c r="F16" t="s">
        <v>10</v>
      </c>
      <c r="G16" s="11" t="s">
        <v>18</v>
      </c>
      <c r="H16" s="11"/>
      <c r="I16" s="11"/>
      <c r="J16" s="24">
        <f>E11/E23</f>
        <v>86.415786740995742</v>
      </c>
    </row>
    <row r="17" spans="2:11" x14ac:dyDescent="0.3">
      <c r="B17" s="11" t="s">
        <v>19</v>
      </c>
      <c r="C17" s="11"/>
      <c r="D17" s="11"/>
      <c r="E17" s="23">
        <f>E12/2</f>
        <v>1.9166666666666667</v>
      </c>
      <c r="F17" t="s">
        <v>10</v>
      </c>
      <c r="G17" s="11" t="s">
        <v>20</v>
      </c>
      <c r="H17" s="11"/>
      <c r="I17" s="11"/>
      <c r="J17" s="25">
        <f>E20/E23</f>
        <v>17.802631123499289</v>
      </c>
    </row>
    <row r="18" spans="2:11" x14ac:dyDescent="0.3">
      <c r="B18" s="11" t="s">
        <v>21</v>
      </c>
      <c r="C18" s="11"/>
      <c r="D18" s="11"/>
      <c r="E18" s="24">
        <f>PI()*(E11^2-E12^2)/4</f>
        <v>92.327917430500037</v>
      </c>
      <c r="F18" t="s">
        <v>22</v>
      </c>
      <c r="G18" s="11" t="s">
        <v>23</v>
      </c>
      <c r="H18" s="11"/>
      <c r="I18" s="11"/>
      <c r="J18" s="25">
        <f>E21/E23</f>
        <v>11.00263112349929</v>
      </c>
    </row>
    <row r="19" spans="2:11" x14ac:dyDescent="0.3">
      <c r="B19" s="11" t="s">
        <v>24</v>
      </c>
      <c r="C19" s="11"/>
      <c r="D19" s="11"/>
      <c r="E19" s="23">
        <f>SQRT(((E11/2)^2+(E12/2)^2)/2)</f>
        <v>4.2857969568745968</v>
      </c>
      <c r="F19" t="s">
        <v>10</v>
      </c>
      <c r="G19" s="11" t="s">
        <v>25</v>
      </c>
      <c r="H19" s="11"/>
      <c r="I19" s="11"/>
      <c r="J19">
        <f>J17-J18</f>
        <v>6.7999999999999989</v>
      </c>
    </row>
    <row r="20" spans="2:11" x14ac:dyDescent="0.3">
      <c r="B20" s="11" t="s">
        <v>26</v>
      </c>
      <c r="C20" s="11"/>
      <c r="D20" s="11"/>
      <c r="E20" s="23">
        <f>E19-E17</f>
        <v>2.3691302902079299</v>
      </c>
      <c r="F20" t="s">
        <v>10</v>
      </c>
      <c r="G20" s="2" t="s">
        <v>27</v>
      </c>
      <c r="H20" s="2"/>
      <c r="I20" s="2"/>
      <c r="J20" s="26">
        <f>E18/(2*E23)</f>
        <v>346.89520099627629</v>
      </c>
      <c r="K20" s="27" t="s">
        <v>10</v>
      </c>
    </row>
    <row r="21" spans="2:11" x14ac:dyDescent="0.3">
      <c r="B21" s="11" t="s">
        <v>28</v>
      </c>
      <c r="C21" s="11"/>
      <c r="D21" s="11"/>
      <c r="E21" s="23">
        <f>E16-E19</f>
        <v>1.4642030431254032</v>
      </c>
      <c r="F21" t="s">
        <v>10</v>
      </c>
      <c r="G21" s="11" t="s">
        <v>29</v>
      </c>
      <c r="H21" s="11"/>
      <c r="I21" s="11"/>
      <c r="J21" s="25">
        <f>J20/E11</f>
        <v>30.16480008663272</v>
      </c>
    </row>
    <row r="22" spans="2:11" x14ac:dyDescent="0.3">
      <c r="B22" s="11" t="s">
        <v>30</v>
      </c>
      <c r="C22" s="11"/>
      <c r="D22" s="11"/>
      <c r="E22" s="23">
        <f>2*E19-(E11/2)-(E12/2)</f>
        <v>0.90492724708252692</v>
      </c>
      <c r="F22" t="s">
        <v>10</v>
      </c>
      <c r="G22" s="11" t="s">
        <v>31</v>
      </c>
      <c r="H22" s="11"/>
      <c r="I22" s="11"/>
      <c r="J22" s="24">
        <f>E18*0.3/E23</f>
        <v>208.13712059776577</v>
      </c>
      <c r="K22" t="s">
        <v>10</v>
      </c>
    </row>
    <row r="23" spans="2:11" x14ac:dyDescent="0.3">
      <c r="B23" s="2" t="s">
        <v>32</v>
      </c>
      <c r="C23" s="2"/>
      <c r="D23" s="2"/>
      <c r="E23" s="28">
        <f>E22/E13</f>
        <v>0.13307753633566571</v>
      </c>
      <c r="F23" s="27" t="s">
        <v>10</v>
      </c>
      <c r="G23" s="11" t="s">
        <v>33</v>
      </c>
      <c r="H23" s="11"/>
      <c r="I23" s="11"/>
      <c r="J23" s="24">
        <f>(J20-J22)/10</f>
        <v>13.875808039851051</v>
      </c>
      <c r="K23" t="s">
        <v>10</v>
      </c>
    </row>
    <row r="25" spans="2:11" x14ac:dyDescent="0.3">
      <c r="B25" s="29" t="s">
        <v>34</v>
      </c>
      <c r="C25" s="29" t="s">
        <v>35</v>
      </c>
      <c r="D25" s="29" t="s">
        <v>36</v>
      </c>
    </row>
    <row r="26" spans="2:11" x14ac:dyDescent="0.3">
      <c r="B26" s="24">
        <f t="shared" ref="B26:B35" si="0">B27-J$23</f>
        <v>208.13712059776577</v>
      </c>
      <c r="C26" s="30">
        <f t="shared" ref="C26:C46" si="1">B26*E$23/E$18</f>
        <v>0.3</v>
      </c>
      <c r="D26" s="23">
        <f t="shared" ref="D26:D46" si="2">(SQRT(E$11^2-(1.27324*B26*E$23))+SQRT((1.27324*B26*E$23)+E$12^2)-(E$11+E$12))/(2*E$23)</f>
        <v>5.9476453462238181</v>
      </c>
    </row>
    <row r="27" spans="2:11" x14ac:dyDescent="0.3">
      <c r="B27" s="24">
        <f t="shared" si="0"/>
        <v>222.01292863761682</v>
      </c>
      <c r="C27" s="30">
        <f t="shared" si="1"/>
        <v>0.32</v>
      </c>
      <c r="D27" s="23">
        <f t="shared" si="2"/>
        <v>6.1140868157352752</v>
      </c>
    </row>
    <row r="28" spans="2:11" x14ac:dyDescent="0.3">
      <c r="B28" s="24">
        <f t="shared" si="0"/>
        <v>235.88873667746788</v>
      </c>
      <c r="C28" s="30">
        <f t="shared" si="1"/>
        <v>0.33999999999999997</v>
      </c>
      <c r="D28" s="23">
        <f t="shared" si="2"/>
        <v>6.2611554060505101</v>
      </c>
    </row>
    <row r="29" spans="2:11" x14ac:dyDescent="0.3">
      <c r="B29" s="24">
        <f t="shared" si="0"/>
        <v>249.76454471731893</v>
      </c>
      <c r="C29" s="30">
        <f t="shared" si="1"/>
        <v>0.36</v>
      </c>
      <c r="D29" s="23">
        <f t="shared" si="2"/>
        <v>6.3895110999566045</v>
      </c>
    </row>
    <row r="30" spans="2:11" x14ac:dyDescent="0.3">
      <c r="B30" s="24">
        <f t="shared" si="0"/>
        <v>263.64035275716998</v>
      </c>
      <c r="C30" s="30">
        <f t="shared" si="1"/>
        <v>0.38</v>
      </c>
      <c r="D30" s="23">
        <f t="shared" si="2"/>
        <v>6.4997100400749321</v>
      </c>
    </row>
    <row r="31" spans="2:11" x14ac:dyDescent="0.3">
      <c r="B31" s="24">
        <f t="shared" si="0"/>
        <v>277.51616079702103</v>
      </c>
      <c r="C31" s="30">
        <f t="shared" si="1"/>
        <v>0.4</v>
      </c>
      <c r="D31" s="23">
        <f t="shared" si="2"/>
        <v>6.5922154811909692</v>
      </c>
    </row>
    <row r="32" spans="2:11" x14ac:dyDescent="0.3">
      <c r="B32" s="24">
        <f t="shared" si="0"/>
        <v>291.39196883687208</v>
      </c>
      <c r="C32" s="30">
        <f t="shared" si="1"/>
        <v>0.42</v>
      </c>
      <c r="D32" s="23">
        <f t="shared" si="2"/>
        <v>6.6674064819879382</v>
      </c>
    </row>
    <row r="33" spans="2:20" x14ac:dyDescent="0.3">
      <c r="B33" s="24">
        <f t="shared" si="0"/>
        <v>305.26777687672313</v>
      </c>
      <c r="C33" s="30">
        <f t="shared" si="1"/>
        <v>0.44</v>
      </c>
      <c r="D33" s="23">
        <f t="shared" si="2"/>
        <v>6.7255847284256394</v>
      </c>
    </row>
    <row r="34" spans="2:20" x14ac:dyDescent="0.3">
      <c r="B34" s="24">
        <f t="shared" si="0"/>
        <v>319.14358491657418</v>
      </c>
      <c r="C34" s="30">
        <f t="shared" si="1"/>
        <v>0.46</v>
      </c>
      <c r="D34" s="23">
        <f t="shared" si="2"/>
        <v>6.766979780274645</v>
      </c>
    </row>
    <row r="35" spans="2:20" x14ac:dyDescent="0.3">
      <c r="B35" s="24">
        <f t="shared" si="0"/>
        <v>333.01939295642524</v>
      </c>
      <c r="C35" s="30">
        <f t="shared" si="1"/>
        <v>0.48</v>
      </c>
      <c r="D35" s="23">
        <f t="shared" si="2"/>
        <v>6.7917529547822761</v>
      </c>
    </row>
    <row r="36" spans="2:20" x14ac:dyDescent="0.3">
      <c r="B36" s="24">
        <f>J20</f>
        <v>346.89520099627629</v>
      </c>
      <c r="C36" s="30">
        <f t="shared" si="1"/>
        <v>0.5</v>
      </c>
      <c r="D36" s="23">
        <f t="shared" si="2"/>
        <v>6.799999999999331</v>
      </c>
    </row>
    <row r="37" spans="2:20" x14ac:dyDescent="0.3">
      <c r="B37" s="24">
        <f t="shared" ref="B37:B46" si="3">B36+J$23</f>
        <v>360.77100903612734</v>
      </c>
      <c r="C37" s="30">
        <f t="shared" si="1"/>
        <v>0.52</v>
      </c>
      <c r="D37" s="23">
        <f t="shared" si="2"/>
        <v>6.7917526597978792</v>
      </c>
    </row>
    <row r="38" spans="2:20" x14ac:dyDescent="0.3">
      <c r="B38" s="24">
        <f t="shared" si="3"/>
        <v>374.64681707597839</v>
      </c>
      <c r="C38" s="30">
        <f t="shared" si="1"/>
        <v>0.53999999999999992</v>
      </c>
      <c r="D38" s="23">
        <f t="shared" si="2"/>
        <v>6.7669791891692714</v>
      </c>
    </row>
    <row r="39" spans="2:20" ht="17.600000000000001" x14ac:dyDescent="0.3">
      <c r="B39" s="24">
        <f t="shared" si="3"/>
        <v>388.52262511582944</v>
      </c>
      <c r="C39" s="30">
        <f t="shared" si="1"/>
        <v>0.55999999999999994</v>
      </c>
      <c r="D39" s="23">
        <f t="shared" si="2"/>
        <v>6.7255838389075882</v>
      </c>
      <c r="N39" s="8" t="s">
        <v>37</v>
      </c>
      <c r="O39" s="8"/>
      <c r="P39" s="8"/>
      <c r="Q39" s="8"/>
      <c r="R39" s="8"/>
      <c r="S39" s="8"/>
      <c r="T39" s="8"/>
    </row>
    <row r="40" spans="2:20" x14ac:dyDescent="0.3">
      <c r="B40" s="24">
        <f t="shared" si="3"/>
        <v>402.39843315568049</v>
      </c>
      <c r="C40" s="30">
        <f t="shared" si="1"/>
        <v>0.58000000000000007</v>
      </c>
      <c r="D40" s="23">
        <f t="shared" si="2"/>
        <v>6.66740529057284</v>
      </c>
    </row>
    <row r="41" spans="2:20" ht="15.45" x14ac:dyDescent="0.3">
      <c r="B41" s="24">
        <f t="shared" si="3"/>
        <v>416.27424119553154</v>
      </c>
      <c r="C41" s="30">
        <f t="shared" si="1"/>
        <v>0.6</v>
      </c>
      <c r="D41" s="23">
        <f t="shared" si="2"/>
        <v>6.5922139831434139</v>
      </c>
      <c r="N41" s="15" t="s">
        <v>6</v>
      </c>
      <c r="O41" s="6" t="s">
        <v>7</v>
      </c>
      <c r="P41" s="6"/>
      <c r="Q41" s="6"/>
    </row>
    <row r="42" spans="2:20" x14ac:dyDescent="0.3">
      <c r="B42" s="24">
        <f t="shared" si="3"/>
        <v>430.1500492353826</v>
      </c>
      <c r="C42" s="30">
        <f t="shared" si="1"/>
        <v>0.62</v>
      </c>
      <c r="D42" s="23">
        <f t="shared" si="2"/>
        <v>6.4997082293275232</v>
      </c>
      <c r="N42" s="31" t="s">
        <v>38</v>
      </c>
      <c r="O42" s="17">
        <v>11.5</v>
      </c>
      <c r="P42" t="s">
        <v>39</v>
      </c>
      <c r="Q42" s="18"/>
    </row>
    <row r="43" spans="2:20" x14ac:dyDescent="0.3">
      <c r="B43" s="24">
        <f t="shared" si="3"/>
        <v>444.02585727523365</v>
      </c>
      <c r="C43" s="30">
        <f t="shared" si="1"/>
        <v>0.64</v>
      </c>
      <c r="D43" s="23">
        <f t="shared" si="2"/>
        <v>6.3895089690026934</v>
      </c>
      <c r="N43" s="31" t="s">
        <v>40</v>
      </c>
      <c r="O43" s="19">
        <v>3.83</v>
      </c>
      <c r="P43" t="s">
        <v>39</v>
      </c>
      <c r="Q43" s="18"/>
    </row>
    <row r="44" spans="2:20" x14ac:dyDescent="0.3">
      <c r="B44" s="24">
        <f t="shared" si="3"/>
        <v>457.9016653150847</v>
      </c>
      <c r="C44" s="30">
        <f t="shared" si="1"/>
        <v>0.66</v>
      </c>
      <c r="D44" s="23">
        <f t="shared" si="2"/>
        <v>6.2611529458066029</v>
      </c>
      <c r="N44" s="31" t="s">
        <v>41</v>
      </c>
      <c r="O44" s="32">
        <v>0.13300000000000001</v>
      </c>
      <c r="P44" t="s">
        <v>39</v>
      </c>
      <c r="Q44" s="18"/>
    </row>
    <row r="45" spans="2:20" x14ac:dyDescent="0.3">
      <c r="B45" s="24">
        <f t="shared" si="3"/>
        <v>471.77747335493575</v>
      </c>
      <c r="C45" s="30">
        <f t="shared" si="1"/>
        <v>0.67999999999999994</v>
      </c>
      <c r="D45" s="23">
        <f t="shared" si="2"/>
        <v>6.1140840153667035</v>
      </c>
      <c r="N45" s="33" t="s">
        <v>42</v>
      </c>
      <c r="O45" s="34">
        <v>347</v>
      </c>
      <c r="P45" s="35" t="s">
        <v>39</v>
      </c>
      <c r="Q45" s="21"/>
    </row>
    <row r="46" spans="2:20" x14ac:dyDescent="0.3">
      <c r="B46" s="24">
        <f t="shared" si="3"/>
        <v>485.6532813947868</v>
      </c>
      <c r="C46" s="30">
        <f t="shared" si="1"/>
        <v>0.7</v>
      </c>
      <c r="D46" s="23">
        <f t="shared" si="2"/>
        <v>5.9476421929258656</v>
      </c>
      <c r="O46" s="23"/>
    </row>
    <row r="47" spans="2:20" x14ac:dyDescent="0.3">
      <c r="N47" s="36" t="s">
        <v>43</v>
      </c>
      <c r="O47" s="37"/>
    </row>
    <row r="48" spans="2:20" x14ac:dyDescent="0.3">
      <c r="N48" s="31" t="s">
        <v>44</v>
      </c>
      <c r="O48" s="38">
        <f>(SQRT(O42^2-(1.27324*O45*O44))+SQRT((1.27324*O45*O44)+O43^2)-(O42+O43))/(2*O44)</f>
        <v>6.8108923276285633</v>
      </c>
    </row>
    <row r="49" spans="2:17" ht="17.600000000000001" x14ac:dyDescent="0.3">
      <c r="B49" s="8" t="s">
        <v>45</v>
      </c>
      <c r="C49" s="8"/>
      <c r="D49" s="8"/>
      <c r="N49" s="31" t="s">
        <v>35</v>
      </c>
      <c r="O49" s="39">
        <f>(1.27324*(O45*O44))/(O42^2-O43^2)</f>
        <v>0.49975122906657621</v>
      </c>
    </row>
    <row r="50" spans="2:17" x14ac:dyDescent="0.3">
      <c r="N50" s="31" t="s">
        <v>46</v>
      </c>
      <c r="O50" s="38">
        <f>O43/O42</f>
        <v>0.33304347826086955</v>
      </c>
    </row>
    <row r="51" spans="2:17" ht="15.45" x14ac:dyDescent="0.3">
      <c r="B51" s="1" t="s">
        <v>47</v>
      </c>
      <c r="C51" s="1"/>
      <c r="H51" s="1" t="s">
        <v>48</v>
      </c>
      <c r="I51" s="1"/>
      <c r="N51" s="31" t="s">
        <v>49</v>
      </c>
      <c r="O51" s="40">
        <f>O42/O44</f>
        <v>86.46616541353383</v>
      </c>
    </row>
    <row r="52" spans="2:17" x14ac:dyDescent="0.3">
      <c r="N52" s="31" t="s">
        <v>50</v>
      </c>
      <c r="O52" s="40">
        <f>O43/O44</f>
        <v>28.796992481203006</v>
      </c>
    </row>
    <row r="53" spans="2:17" ht="15.45" x14ac:dyDescent="0.3">
      <c r="B53" s="15" t="s">
        <v>6</v>
      </c>
      <c r="C53" s="16"/>
      <c r="D53" s="6" t="s">
        <v>7</v>
      </c>
      <c r="E53" s="6"/>
      <c r="F53" s="6"/>
      <c r="H53" s="15" t="s">
        <v>6</v>
      </c>
      <c r="I53" s="16"/>
      <c r="J53" s="6" t="s">
        <v>7</v>
      </c>
      <c r="K53" s="6"/>
      <c r="L53" s="6"/>
      <c r="N53" s="31" t="s">
        <v>51</v>
      </c>
      <c r="O53" s="41">
        <f>(SQRT((4*O45*O44/PI())+O43^2)-O43)/(2*O44)</f>
        <v>17.816319713651133</v>
      </c>
    </row>
    <row r="54" spans="2:17" x14ac:dyDescent="0.3">
      <c r="B54" s="5" t="s">
        <v>52</v>
      </c>
      <c r="C54" s="5"/>
      <c r="D54" s="5" t="s">
        <v>9</v>
      </c>
      <c r="E54" s="17">
        <v>11.43</v>
      </c>
      <c r="F54" s="18" t="s">
        <v>10</v>
      </c>
      <c r="H54" s="5" t="s">
        <v>53</v>
      </c>
      <c r="I54" s="5"/>
      <c r="J54" s="5" t="s">
        <v>9</v>
      </c>
      <c r="K54" s="42">
        <v>0.46600000000000003</v>
      </c>
      <c r="L54" s="18" t="s">
        <v>54</v>
      </c>
      <c r="N54" s="31" t="s">
        <v>55</v>
      </c>
      <c r="O54" s="41">
        <f>(O42-SQRT(O42^2-(4*O45*O44/PI())))/(2*O44)</f>
        <v>11.005427387858067</v>
      </c>
    </row>
    <row r="55" spans="2:17" x14ac:dyDescent="0.3">
      <c r="B55" s="5" t="s">
        <v>56</v>
      </c>
      <c r="C55" s="5"/>
      <c r="D55" s="5" t="s">
        <v>12</v>
      </c>
      <c r="E55" s="19">
        <v>0.13</v>
      </c>
      <c r="F55" s="18" t="s">
        <v>10</v>
      </c>
      <c r="H55" s="5" t="s">
        <v>56</v>
      </c>
      <c r="I55" s="5"/>
      <c r="J55" s="5" t="s">
        <v>12</v>
      </c>
      <c r="K55" s="19">
        <v>0.13</v>
      </c>
      <c r="L55" s="18" t="s">
        <v>10</v>
      </c>
      <c r="N55" s="33" t="s">
        <v>57</v>
      </c>
      <c r="O55" s="43">
        <f>O53-O54</f>
        <v>6.8108923257930662</v>
      </c>
    </row>
    <row r="56" spans="2:17" x14ac:dyDescent="0.3">
      <c r="B56" s="4" t="s">
        <v>58</v>
      </c>
      <c r="C56" s="4"/>
      <c r="D56" s="4" t="s">
        <v>15</v>
      </c>
      <c r="E56" s="34">
        <v>11</v>
      </c>
      <c r="F56" s="21"/>
      <c r="H56" s="4" t="s">
        <v>59</v>
      </c>
      <c r="I56" s="4"/>
      <c r="J56" s="4" t="s">
        <v>15</v>
      </c>
      <c r="K56" s="34">
        <v>1.34</v>
      </c>
      <c r="L56" s="21" t="s">
        <v>10</v>
      </c>
    </row>
    <row r="58" spans="2:17" ht="17.600000000000001" x14ac:dyDescent="0.3">
      <c r="B58" s="44" t="s">
        <v>60</v>
      </c>
      <c r="C58" s="44"/>
      <c r="D58" s="44"/>
      <c r="E58" s="45">
        <f>PI()*((E54*E56)-(E56^2*E55))</f>
        <v>345.57519189487721</v>
      </c>
      <c r="F58" s="44" t="s">
        <v>10</v>
      </c>
      <c r="H58" s="44" t="s">
        <v>60</v>
      </c>
      <c r="I58" s="44"/>
      <c r="J58" s="44" t="s">
        <v>61</v>
      </c>
      <c r="K58" s="45">
        <f>K54/(K55*K56*0.00785)</f>
        <v>340.77530037222027</v>
      </c>
      <c r="L58" s="44" t="s">
        <v>10</v>
      </c>
      <c r="N58" s="8" t="s">
        <v>62</v>
      </c>
      <c r="O58" s="8"/>
      <c r="P58" s="8"/>
      <c r="Q58" s="8"/>
    </row>
    <row r="59" spans="2:17" x14ac:dyDescent="0.3">
      <c r="J59" s="44" t="s">
        <v>63</v>
      </c>
      <c r="K59" s="45">
        <f>K54/(K55*K56*0.0083)</f>
        <v>322.29953107493117</v>
      </c>
      <c r="L59" s="44" t="s">
        <v>10</v>
      </c>
    </row>
    <row r="60" spans="2:17" ht="15.45" x14ac:dyDescent="0.3">
      <c r="N60" s="15" t="s">
        <v>6</v>
      </c>
      <c r="O60" s="6" t="s">
        <v>7</v>
      </c>
      <c r="P60" s="6"/>
      <c r="Q60" s="6"/>
    </row>
    <row r="61" spans="2:17" x14ac:dyDescent="0.3">
      <c r="N61" s="31" t="s">
        <v>38</v>
      </c>
      <c r="O61" s="17">
        <v>11.5</v>
      </c>
      <c r="P61" t="s">
        <v>39</v>
      </c>
      <c r="Q61" s="18"/>
    </row>
    <row r="62" spans="2:17" x14ac:dyDescent="0.3">
      <c r="N62" s="31" t="s">
        <v>40</v>
      </c>
      <c r="O62" s="19">
        <v>3.83</v>
      </c>
      <c r="P62" t="s">
        <v>39</v>
      </c>
      <c r="Q62" s="18"/>
    </row>
    <row r="63" spans="2:17" x14ac:dyDescent="0.3">
      <c r="N63" s="33" t="s">
        <v>41</v>
      </c>
      <c r="O63" s="46">
        <v>0.13300000000000001</v>
      </c>
      <c r="P63" s="35" t="s">
        <v>39</v>
      </c>
      <c r="Q63" s="21"/>
    </row>
    <row r="65" spans="14:16" x14ac:dyDescent="0.3">
      <c r="N65" s="36" t="s">
        <v>43</v>
      </c>
      <c r="O65" s="16"/>
      <c r="P65" s="37"/>
    </row>
    <row r="66" spans="14:16" x14ac:dyDescent="0.3">
      <c r="N66" s="31" t="s">
        <v>64</v>
      </c>
      <c r="O66" s="24">
        <f>PI()*(O61^2-O62^2)/(8*O63)</f>
        <v>347.17285710620939</v>
      </c>
      <c r="P66" s="18" t="s">
        <v>39</v>
      </c>
    </row>
    <row r="67" spans="14:16" x14ac:dyDescent="0.3">
      <c r="N67" s="31" t="s">
        <v>44</v>
      </c>
      <c r="O67" s="25">
        <f>((SQRT(2*(O61^2+O62^2))-(O61+O62))/(2*O63))</f>
        <v>6.8108936048352886</v>
      </c>
      <c r="P67" s="18"/>
    </row>
    <row r="68" spans="14:16" x14ac:dyDescent="0.3">
      <c r="N68" s="31" t="s">
        <v>49</v>
      </c>
      <c r="O68" s="24">
        <f>O61/O63</f>
        <v>86.46616541353383</v>
      </c>
      <c r="P68" s="18"/>
    </row>
    <row r="69" spans="14:16" x14ac:dyDescent="0.3">
      <c r="N69" s="31" t="s">
        <v>50</v>
      </c>
      <c r="O69" s="24">
        <f>O62/O63</f>
        <v>28.796992481203006</v>
      </c>
      <c r="P69" s="18"/>
    </row>
    <row r="70" spans="14:16" x14ac:dyDescent="0.3">
      <c r="N70" s="31" t="s">
        <v>65</v>
      </c>
      <c r="O70" s="24">
        <f>O66/O61</f>
        <v>30.18894409619212</v>
      </c>
      <c r="P70" s="18"/>
    </row>
    <row r="71" spans="14:16" x14ac:dyDescent="0.3">
      <c r="N71" s="33" t="s">
        <v>66</v>
      </c>
      <c r="O71" s="47">
        <f>(1.27324*(O63*O66))/(O61^2-O62^2)</f>
        <v>0.50000017878208347</v>
      </c>
      <c r="P71" s="21"/>
    </row>
  </sheetData>
  <mergeCells count="42">
    <mergeCell ref="B56:D56"/>
    <mergeCell ref="H56:J56"/>
    <mergeCell ref="N58:Q58"/>
    <mergeCell ref="O60:Q60"/>
    <mergeCell ref="D53:F53"/>
    <mergeCell ref="J53:L53"/>
    <mergeCell ref="B54:D54"/>
    <mergeCell ref="H54:J54"/>
    <mergeCell ref="B55:D55"/>
    <mergeCell ref="H55:J55"/>
    <mergeCell ref="N39:T39"/>
    <mergeCell ref="O41:Q41"/>
    <mergeCell ref="B49:D49"/>
    <mergeCell ref="B51:C51"/>
    <mergeCell ref="H51:I51"/>
    <mergeCell ref="B21:D21"/>
    <mergeCell ref="G21:I21"/>
    <mergeCell ref="B22:D22"/>
    <mergeCell ref="G22:I22"/>
    <mergeCell ref="B23:D23"/>
    <mergeCell ref="G23:I23"/>
    <mergeCell ref="B18:D18"/>
    <mergeCell ref="G18:I18"/>
    <mergeCell ref="B19:D19"/>
    <mergeCell ref="G19:I19"/>
    <mergeCell ref="B20:D20"/>
    <mergeCell ref="G20:I20"/>
    <mergeCell ref="B15:D15"/>
    <mergeCell ref="B16:D16"/>
    <mergeCell ref="G16:I16"/>
    <mergeCell ref="B17:D17"/>
    <mergeCell ref="G17:I17"/>
    <mergeCell ref="B8:K8"/>
    <mergeCell ref="D10:F10"/>
    <mergeCell ref="B11:D11"/>
    <mergeCell ref="B12:D12"/>
    <mergeCell ref="B13:D13"/>
    <mergeCell ref="A1:E1"/>
    <mergeCell ref="A2:C2"/>
    <mergeCell ref="A3:H3"/>
    <mergeCell ref="A4:E4"/>
    <mergeCell ref="B6:E6"/>
  </mergeCells>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David Boettcher</cp:lastModifiedBy>
  <cp:revision>27</cp:revision>
  <dcterms:created xsi:type="dcterms:W3CDTF">2017-08-01T17:57:52Z</dcterms:created>
  <dcterms:modified xsi:type="dcterms:W3CDTF">2025-12-11T15:17:46Z</dcterms:modified>
  <dc:language>en-GB</dc:language>
</cp:coreProperties>
</file>